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REVISIONE  " sheetId="1" r:id="rId1"/>
  </sheets>
  <calcPr calcId="145621"/>
</workbook>
</file>

<file path=xl/calcChain.xml><?xml version="1.0" encoding="utf-8"?>
<calcChain xmlns="http://schemas.openxmlformats.org/spreadsheetml/2006/main">
  <c r="C36" i="1" l="1"/>
  <c r="C37" i="1" s="1"/>
  <c r="C38" i="1" s="1"/>
  <c r="C39" i="1" s="1"/>
  <c r="C40" i="1" s="1"/>
  <c r="C41" i="1" s="1"/>
  <c r="L30" i="1"/>
  <c r="H30" i="1"/>
  <c r="R30" i="1" s="1"/>
  <c r="Q30" i="1" s="1"/>
  <c r="L25" i="1"/>
  <c r="M25" i="1" s="1"/>
  <c r="N25" i="1" s="1"/>
  <c r="O25" i="1" s="1"/>
  <c r="U25" i="1" s="1"/>
  <c r="K25" i="1"/>
  <c r="P25" i="1" s="1"/>
  <c r="H25" i="1"/>
  <c r="R25" i="1" s="1"/>
  <c r="Q25" i="1" s="1"/>
  <c r="T20" i="1"/>
  <c r="L20" i="1"/>
  <c r="M20" i="1" s="1"/>
  <c r="N20" i="1" s="1"/>
  <c r="O20" i="1" s="1"/>
  <c r="U20" i="1" s="1"/>
  <c r="K20" i="1"/>
  <c r="P20" i="1" s="1"/>
  <c r="H20" i="1"/>
  <c r="R20" i="1" s="1"/>
  <c r="Q20" i="1" s="1"/>
  <c r="T19" i="1"/>
  <c r="L19" i="1"/>
  <c r="G19" i="1"/>
  <c r="F19" i="1"/>
  <c r="H19" i="1" s="1"/>
  <c r="T18" i="1"/>
  <c r="L18" i="1"/>
  <c r="G18" i="1"/>
  <c r="H18" i="1" s="1"/>
  <c r="F18" i="1"/>
  <c r="T17" i="1"/>
  <c r="L17" i="1"/>
  <c r="G17" i="1"/>
  <c r="F17" i="1"/>
  <c r="H17" i="1" s="1"/>
  <c r="T16" i="1"/>
  <c r="L16" i="1"/>
  <c r="G16" i="1"/>
  <c r="H16" i="1" s="1"/>
  <c r="F16" i="1"/>
  <c r="L15" i="1"/>
  <c r="H15" i="1"/>
  <c r="K15" i="1" s="1"/>
  <c r="L11" i="1"/>
  <c r="H11" i="1"/>
  <c r="K11" i="1" s="1"/>
  <c r="T10" i="1"/>
  <c r="N10" i="1"/>
  <c r="O10" i="1" s="1"/>
  <c r="M10" i="1"/>
  <c r="T9" i="1"/>
  <c r="L9" i="1"/>
  <c r="M9" i="1" s="1"/>
  <c r="N9" i="1" s="1"/>
  <c r="O9" i="1" s="1"/>
  <c r="K9" i="1"/>
  <c r="P9" i="1" s="1"/>
  <c r="H9" i="1"/>
  <c r="R9" i="1" s="1"/>
  <c r="Q9" i="1" s="1"/>
  <c r="T8" i="1"/>
  <c r="L8" i="1"/>
  <c r="M8" i="1" s="1"/>
  <c r="N8" i="1" s="1"/>
  <c r="O8" i="1" s="1"/>
  <c r="K8" i="1"/>
  <c r="H8" i="1"/>
  <c r="R8" i="1" s="1"/>
  <c r="Q8" i="1" s="1"/>
  <c r="T7" i="1"/>
  <c r="T11" i="1" s="1"/>
  <c r="L7" i="1"/>
  <c r="M7" i="1" s="1"/>
  <c r="N7" i="1" s="1"/>
  <c r="O7" i="1" s="1"/>
  <c r="K7" i="1"/>
  <c r="H7" i="1"/>
  <c r="R7" i="1" s="1"/>
  <c r="Q7" i="1" s="1"/>
  <c r="L6" i="1"/>
  <c r="H6" i="1"/>
  <c r="R6" i="1" s="1"/>
  <c r="Q6" i="1" s="1"/>
  <c r="U10" i="1" l="1"/>
  <c r="U7" i="1"/>
  <c r="U9" i="1"/>
  <c r="V9" i="1" s="1"/>
  <c r="U8" i="1"/>
  <c r="V8" i="1" s="1"/>
  <c r="K18" i="1"/>
  <c r="R18" i="1"/>
  <c r="Q18" i="1" s="1"/>
  <c r="P7" i="1"/>
  <c r="P8" i="1"/>
  <c r="P15" i="1"/>
  <c r="M15" i="1"/>
  <c r="N15" i="1" s="1"/>
  <c r="O15" i="1" s="1"/>
  <c r="U15" i="1" s="1"/>
  <c r="M17" i="1"/>
  <c r="N17" i="1" s="1"/>
  <c r="O17" i="1" s="1"/>
  <c r="U17" i="1" s="1"/>
  <c r="V20" i="1"/>
  <c r="V25" i="1"/>
  <c r="M11" i="1"/>
  <c r="N11" i="1" s="1"/>
  <c r="O11" i="1" s="1"/>
  <c r="U11" i="1" s="1"/>
  <c r="K17" i="1"/>
  <c r="R17" i="1"/>
  <c r="Q17" i="1" s="1"/>
  <c r="K19" i="1"/>
  <c r="M19" i="1" s="1"/>
  <c r="N19" i="1" s="1"/>
  <c r="O19" i="1" s="1"/>
  <c r="U19" i="1" s="1"/>
  <c r="R19" i="1"/>
  <c r="Q19" i="1" s="1"/>
  <c r="K16" i="1"/>
  <c r="R16" i="1"/>
  <c r="Q16" i="1" s="1"/>
  <c r="R11" i="1"/>
  <c r="Q11" i="1" s="1"/>
  <c r="R15" i="1"/>
  <c r="Q15" i="1" s="1"/>
  <c r="K6" i="1"/>
  <c r="K30" i="1"/>
  <c r="M30" i="1" s="1"/>
  <c r="N30" i="1" s="1"/>
  <c r="O30" i="1" s="1"/>
  <c r="U30" i="1" s="1"/>
  <c r="V7" i="1" l="1"/>
  <c r="V17" i="1"/>
  <c r="M6" i="1"/>
  <c r="N6" i="1" s="1"/>
  <c r="O6" i="1" s="1"/>
  <c r="U6" i="1" s="1"/>
  <c r="M16" i="1"/>
  <c r="N16" i="1" s="1"/>
  <c r="O16" i="1" s="1"/>
  <c r="U16" i="1" s="1"/>
  <c r="P16" i="1"/>
  <c r="M18" i="1"/>
  <c r="N18" i="1" s="1"/>
  <c r="O18" i="1" s="1"/>
  <c r="U18" i="1" s="1"/>
  <c r="P18" i="1"/>
  <c r="P17" i="1"/>
  <c r="V11" i="1"/>
  <c r="P30" i="1"/>
  <c r="V30" i="1" s="1"/>
  <c r="P19" i="1"/>
  <c r="V19" i="1" s="1"/>
  <c r="P11" i="1"/>
  <c r="V15" i="1"/>
  <c r="V6" i="1" l="1"/>
  <c r="V18" i="1"/>
  <c r="P6" i="1"/>
  <c r="V16" i="1"/>
</calcChain>
</file>

<file path=xl/sharedStrings.xml><?xml version="1.0" encoding="utf-8"?>
<sst xmlns="http://schemas.openxmlformats.org/spreadsheetml/2006/main" count="219" uniqueCount="92">
  <si>
    <t xml:space="preserve">REVISIONE PREZZI LOTTO 1  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</si>
  <si>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</si>
  <si>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</si>
  <si>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</si>
  <si>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</si>
  <si>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</si>
  <si>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</si>
  <si>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</si>
  <si>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</si>
  <si>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</si>
  <si>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</si>
  <si>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</si>
  <si>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</si>
  <si>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</si>
  <si>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</si>
  <si>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</si>
  <si>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</si>
  <si>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</si>
  <si>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Voce</t>
  </si>
  <si>
    <t>Reagente</t>
  </si>
  <si>
    <t>% titolo reagente gara</t>
  </si>
  <si>
    <t>Costo  materia prima titolo di  gara Euro/Kg</t>
  </si>
  <si>
    <t xml:space="preserve">incidenza trasporto euro/Kg (1) </t>
  </si>
  <si>
    <t>Prezzo reagente compreso trasporto</t>
  </si>
  <si>
    <t xml:space="preserve">Prezzo listino  reagente gara euro/Kg (2) </t>
  </si>
  <si>
    <t xml:space="preserve">Prezzo listino  reagente gara euro/Kg </t>
  </si>
  <si>
    <t>%MP= Costo Materia Prima / Prezzo listino (%)</t>
  </si>
  <si>
    <t>% var.</t>
  </si>
  <si>
    <t>R% offerto su Modello Offerta</t>
  </si>
  <si>
    <t>Prezzo netto esclusi oneri esclusa IVA</t>
  </si>
  <si>
    <t>A001</t>
  </si>
  <si>
    <t xml:space="preserve">Cloruro ferrico sol. 40% w,w  </t>
  </si>
  <si>
    <t>A002</t>
  </si>
  <si>
    <t xml:space="preserve">Soda caustica sol. 30% w,w </t>
  </si>
  <si>
    <t>A003</t>
  </si>
  <si>
    <t>Acido solforico sol. 30 w,w</t>
  </si>
  <si>
    <t>A004</t>
  </si>
  <si>
    <t xml:space="preserve">Acido citrico sol. al 50% w,w </t>
  </si>
  <si>
    <t>A005</t>
  </si>
  <si>
    <t>Integratore carbonio  avente COD non inferiore a 100.000 mg/kg O2 (3)</t>
  </si>
  <si>
    <t>A006</t>
  </si>
  <si>
    <t>Acido acetico sol 80% w,w</t>
  </si>
  <si>
    <t>REVISIONE PREZZI LOTTO 2</t>
  </si>
  <si>
    <t>Prezzo reagente compreso trasporto euro/Kg</t>
  </si>
  <si>
    <t>B001</t>
  </si>
  <si>
    <t>B002</t>
  </si>
  <si>
    <t>B003</t>
  </si>
  <si>
    <t>B004</t>
  </si>
  <si>
    <t>B005</t>
  </si>
  <si>
    <t>B006</t>
  </si>
  <si>
    <t xml:space="preserve">acido formico sol. 20% w,w </t>
  </si>
  <si>
    <t>REVISIONE PREZZO LOTTO 3</t>
  </si>
  <si>
    <t>Reagente -</t>
  </si>
  <si>
    <t xml:space="preserve">incidenza trasporto  euro/Kg (1) </t>
  </si>
  <si>
    <t>C001</t>
  </si>
  <si>
    <t xml:space="preserve">Ipoclorito sol. 14-15% w,v di cloro attivo </t>
  </si>
  <si>
    <t>REVISIONE PREZZ0 LOTTO 3</t>
  </si>
  <si>
    <t>D001</t>
  </si>
  <si>
    <t>DATA AFFIDAMENTO e data aggiornamento quadrimestrale</t>
  </si>
  <si>
    <t>LISTINO CCIAA MILANO</t>
  </si>
  <si>
    <t>Prezzi validi</t>
  </si>
  <si>
    <t>01.04.2019-31.07.2020</t>
  </si>
  <si>
    <t>01.08.2020-30.11.2020</t>
  </si>
  <si>
    <t>01.12.2020-30.03.2020</t>
  </si>
  <si>
    <t>01.04.2020-31.07.2020</t>
  </si>
  <si>
    <t>LEGENDA</t>
  </si>
  <si>
    <t>COLONNA/SIGLA/COLORE</t>
  </si>
  <si>
    <t>Descrizione</t>
  </si>
  <si>
    <t>CCIAM</t>
  </si>
  <si>
    <t xml:space="preserve">Costo  materia prima al titolo di  gara Euro/Kg = H18*J18/I18/1000 </t>
  </si>
  <si>
    <t>Prezzo stimato di gara per la fornitura del reagente omincompresivo dei costi di preparaizone, trasporto, travaso e quanto necessario per esecuzione della forntiura a regola dell'arte (in euro/Kg)</t>
  </si>
  <si>
    <t>%MP= K6/O6 (in %)</t>
  </si>
  <si>
    <t>%var= (P-O)/O  (in%)</t>
  </si>
  <si>
    <t xml:space="preserve">Prezzo netto esclusi oneri esclusa IVA (In euro/Kg)= O35*(100-T35)/100 </t>
  </si>
  <si>
    <t xml:space="preserve">R% offerto su Modello Offerta= R% offerto dal concorrente in gara ( fisso per tutta la durata contrattuale) </t>
  </si>
  <si>
    <t xml:space="preserve">Caselle del foglio elettronico modificabili </t>
  </si>
  <si>
    <t>Prezzo netto (applicazione R%) esclusi oneri esclusa IVA</t>
  </si>
  <si>
    <t>Prezzo ribassato e Revisionato Euro/kg (esclusi oneri esclusa IVA)</t>
  </si>
  <si>
    <t>Prezzo ribassato e revisionato Euro/kg (esclusi oneri, esclusa iva ) = U6+((S6-R6)/R6*100*P6*U6/100)</t>
  </si>
  <si>
    <t>Caselle indicanti il nuovo prezzo esclusi non soggetti a ribasso ( Iva esclisa) in caso di revisione del prezzo</t>
  </si>
  <si>
    <t>Prezzo min CCIAM</t>
  </si>
  <si>
    <t>Rif listino CCIAM</t>
  </si>
  <si>
    <t>Codice riferimento listino (CCIAM) di Milano Monza e Brianza</t>
  </si>
  <si>
    <r>
      <t>PCCIAM</t>
    </r>
    <r>
      <rPr>
        <b/>
        <vertAlign val="subscript"/>
        <sz val="11"/>
        <color theme="1"/>
        <rFont val="Calibri"/>
        <family val="2"/>
        <scheme val="minor"/>
      </rPr>
      <t xml:space="preserve">GARA </t>
    </r>
    <r>
      <rPr>
        <b/>
        <sz val="11"/>
        <color theme="1"/>
        <rFont val="Calibri"/>
        <family val="2"/>
        <scheme val="minor"/>
      </rPr>
      <t>(medio) materia prima</t>
    </r>
  </si>
  <si>
    <t>P massimo CCIAM</t>
  </si>
  <si>
    <r>
      <t>PCCIAM</t>
    </r>
    <r>
      <rPr>
        <b/>
        <vertAlign val="subscript"/>
        <sz val="11"/>
        <color theme="1"/>
        <rFont val="Calibri"/>
        <family val="2"/>
        <scheme val="minor"/>
      </rPr>
      <t xml:space="preserve">GARA </t>
    </r>
    <r>
      <rPr>
        <b/>
        <sz val="11"/>
        <color theme="1"/>
        <rFont val="Calibri"/>
        <family val="2"/>
        <scheme val="minor"/>
      </rPr>
      <t xml:space="preserve">(medio reagente </t>
    </r>
  </si>
  <si>
    <r>
      <t>PCCIAM</t>
    </r>
    <r>
      <rPr>
        <b/>
        <vertAlign val="subscript"/>
        <sz val="11"/>
        <color theme="1"/>
        <rFont val="Calibri"/>
        <family val="2"/>
        <scheme val="minor"/>
      </rPr>
      <t>NEW</t>
    </r>
    <r>
      <rPr>
        <b/>
        <sz val="11"/>
        <color theme="1"/>
        <rFont val="Calibri"/>
        <family val="2"/>
        <scheme val="minor"/>
      </rPr>
      <t xml:space="preserve"> (medio )</t>
    </r>
  </si>
  <si>
    <r>
      <t>PCCIAM</t>
    </r>
    <r>
      <rPr>
        <vertAlign val="subscript"/>
        <sz val="11"/>
        <color theme="1"/>
        <rFont val="Calibri"/>
        <family val="2"/>
        <scheme val="minor"/>
      </rPr>
      <t>GARA</t>
    </r>
    <r>
      <rPr>
        <sz val="11"/>
        <color theme="1"/>
        <rFont val="Calibri"/>
        <family val="2"/>
        <scheme val="minor"/>
      </rPr>
      <t xml:space="preserve">   = media del prezzo di listino (min + max)/2 dei reagenti rilevati dalla CCIAA di Milano Monza e Brianza del 08.02.2022 di gara ( fisso per tutta la durata del contratto)</t>
    </r>
  </si>
  <si>
    <r>
      <t>PCCIAM</t>
    </r>
    <r>
      <rPr>
        <vertAlign val="subscript"/>
        <sz val="11"/>
        <color theme="1"/>
        <rFont val="Calibri"/>
        <family val="2"/>
        <scheme val="minor"/>
      </rPr>
      <t>GARA</t>
    </r>
    <r>
      <rPr>
        <sz val="11"/>
        <color theme="1"/>
        <rFont val="Calibri"/>
        <family val="2"/>
        <scheme val="minor"/>
      </rPr>
      <t xml:space="preserve"> (media prezzo reagente CCIAM riferita a listino del 08.02.2022) = (F+G)/2</t>
    </r>
  </si>
  <si>
    <r>
      <t>PCCIAM</t>
    </r>
    <r>
      <rPr>
        <vertAlign val="subscript"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=  media del prezzo di listino (min+max)/2 dei reagenti rilevati dalla CCIAA di Milano Monza e Brianza in caso di aumento diminuzione dei prezzi &gt; 10%   secondo CSA</t>
    </r>
  </si>
  <si>
    <t>% titolo reagente listino CCIAM</t>
  </si>
  <si>
    <t>Rilevazione dei prezzi all'ingrosso listino 450 Prodotti Chimici industriali Camera Commercio di Milano, Monza-Brianza e Lodi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</si>
</sst>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0.0000"/>
    <numFmt numFmtId="167" formatCode="_-* #,##0.0000_-;\-* #,##0.0000_-;_-* &quot;-&quot;??_-;_-@_-"/>
    <numFmt numFmtId="168" formatCode="_-* #,##0.000_-;\-* #,##0.000_-;_-* &quot;-&quot;??_-;_-@_-"/>
    <numFmt numFmtId="169" formatCode="_-&quot;€&quot;\ * #,##0.0000_-;\-&quot;€&quot;\ * #,##0.0000_-;_-&quot;€&quot;\ * &quot;-&quot;????_-;_-@_-"/>
    <numFmt numFmtId="170" formatCode="_-&quot;€&quot;\ * #,##0.00000_-;\-&quot;€&quot;\ * #,##0.00000_-;_-&quot;€&quot;\ * &quot;-&quot;??_-;_-@_-"/>
    <numFmt numFmtId="171" formatCode="_-&quot;€&quot;\ * #,##0.000000_-;\-&quot;€&quot;\ * #,##0.000000_-;_-&quot;€&quot;\ * &quot;-&quot;??_-;_-@_-"/>
    <numFmt numFmtId="172" formatCode="0.00000"/>
    <numFmt numFmtId="173" formatCode="[$-410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195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44" fontId="0" fillId="0" borderId="14" xfId="2" applyFont="1" applyBorder="1" applyAlignment="1">
      <alignment horizontal="center" wrapText="1"/>
    </xf>
    <xf numFmtId="44" fontId="0" fillId="0" borderId="15" xfId="2" applyFont="1" applyBorder="1" applyAlignment="1">
      <alignment horizontal="center" wrapText="1"/>
    </xf>
    <xf numFmtId="44" fontId="0" fillId="0" borderId="16" xfId="2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164" fontId="0" fillId="0" borderId="15" xfId="2" applyNumberFormat="1" applyFont="1" applyBorder="1" applyAlignment="1">
      <alignment horizontal="center" wrapText="1"/>
    </xf>
    <xf numFmtId="165" fontId="0" fillId="0" borderId="16" xfId="2" applyNumberFormat="1" applyFont="1" applyBorder="1" applyAlignment="1">
      <alignment horizontal="center" wrapText="1"/>
    </xf>
    <xf numFmtId="166" fontId="0" fillId="0" borderId="15" xfId="0" applyNumberFormat="1" applyFont="1" applyBorder="1"/>
    <xf numFmtId="10" fontId="0" fillId="0" borderId="16" xfId="3" applyNumberFormat="1" applyFont="1" applyBorder="1" applyAlignment="1">
      <alignment horizontal="center"/>
    </xf>
    <xf numFmtId="10" fontId="0" fillId="0" borderId="14" xfId="3" applyNumberFormat="1" applyFont="1" applyBorder="1"/>
    <xf numFmtId="44" fontId="0" fillId="0" borderId="15" xfId="0" applyNumberFormat="1" applyBorder="1"/>
    <xf numFmtId="44" fontId="0" fillId="3" borderId="15" xfId="0" applyNumberFormat="1" applyFill="1" applyBorder="1" applyProtection="1">
      <protection locked="0"/>
    </xf>
    <xf numFmtId="0" fontId="0" fillId="3" borderId="15" xfId="0" applyFill="1" applyBorder="1" applyAlignment="1" applyProtection="1">
      <alignment horizontal="center"/>
      <protection locked="0"/>
    </xf>
    <xf numFmtId="166" fontId="0" fillId="0" borderId="15" xfId="0" applyNumberFormat="1" applyBorder="1"/>
    <xf numFmtId="167" fontId="0" fillId="4" borderId="17" xfId="1" applyNumberFormat="1" applyFont="1" applyFill="1" applyBorder="1"/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4" fontId="0" fillId="0" borderId="21" xfId="0" applyNumberFormat="1" applyBorder="1" applyAlignment="1">
      <alignment horizontal="center" wrapText="1"/>
    </xf>
    <xf numFmtId="44" fontId="0" fillId="0" borderId="19" xfId="2" applyFont="1" applyBorder="1" applyAlignment="1">
      <alignment horizontal="center" wrapText="1"/>
    </xf>
    <xf numFmtId="44" fontId="0" fillId="0" borderId="20" xfId="2" applyFont="1" applyBorder="1" applyAlignment="1">
      <alignment horizontal="center" wrapText="1"/>
    </xf>
    <xf numFmtId="44" fontId="0" fillId="0" borderId="22" xfId="2" applyFon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164" fontId="0" fillId="0" borderId="20" xfId="2" applyNumberFormat="1" applyFont="1" applyBorder="1" applyAlignment="1">
      <alignment horizontal="center" wrapText="1"/>
    </xf>
    <xf numFmtId="165" fontId="0" fillId="0" borderId="22" xfId="2" applyNumberFormat="1" applyFont="1" applyBorder="1" applyAlignment="1">
      <alignment horizontal="center" wrapText="1"/>
    </xf>
    <xf numFmtId="166" fontId="0" fillId="0" borderId="20" xfId="0" applyNumberFormat="1" applyFont="1" applyBorder="1"/>
    <xf numFmtId="10" fontId="0" fillId="0" borderId="22" xfId="3" applyNumberFormat="1" applyFont="1" applyBorder="1" applyAlignment="1">
      <alignment horizontal="center"/>
    </xf>
    <xf numFmtId="10" fontId="0" fillId="0" borderId="19" xfId="3" applyNumberFormat="1" applyFont="1" applyBorder="1"/>
    <xf numFmtId="44" fontId="0" fillId="0" borderId="20" xfId="0" applyNumberFormat="1" applyBorder="1"/>
    <xf numFmtId="44" fontId="0" fillId="3" borderId="20" xfId="0" applyNumberFormat="1" applyFill="1" applyBorder="1" applyProtection="1">
      <protection locked="0"/>
    </xf>
    <xf numFmtId="0" fontId="0" fillId="0" borderId="20" xfId="0" applyFill="1" applyBorder="1" applyAlignment="1" applyProtection="1">
      <alignment horizontal="center"/>
    </xf>
    <xf numFmtId="166" fontId="0" fillId="0" borderId="20" xfId="0" applyNumberFormat="1" applyBorder="1"/>
    <xf numFmtId="167" fontId="0" fillId="4" borderId="23" xfId="1" applyNumberFormat="1" applyFont="1" applyFill="1" applyBorder="1"/>
    <xf numFmtId="10" fontId="0" fillId="2" borderId="20" xfId="3" applyNumberFormat="1" applyFont="1" applyFill="1" applyBorder="1" applyAlignment="1">
      <alignment horizontal="center"/>
    </xf>
    <xf numFmtId="10" fontId="0" fillId="2" borderId="22" xfId="3" applyNumberFormat="1" applyFont="1" applyFill="1" applyBorder="1" applyAlignment="1">
      <alignment horizontal="center"/>
    </xf>
    <xf numFmtId="10" fontId="0" fillId="2" borderId="19" xfId="3" applyNumberFormat="1" applyFont="1" applyFill="1" applyBorder="1" applyAlignment="1">
      <alignment horizontal="center"/>
    </xf>
    <xf numFmtId="2" fontId="0" fillId="2" borderId="22" xfId="3" applyNumberFormat="1" applyFont="1" applyFill="1" applyBorder="1" applyAlignment="1">
      <alignment horizontal="center"/>
    </xf>
    <xf numFmtId="2" fontId="0" fillId="2" borderId="19" xfId="3" applyNumberFormat="1" applyFont="1" applyFill="1" applyBorder="1" applyAlignment="1">
      <alignment horizontal="center"/>
    </xf>
    <xf numFmtId="2" fontId="0" fillId="2" borderId="20" xfId="3" applyNumberFormat="1" applyFont="1" applyFill="1" applyBorder="1" applyAlignment="1">
      <alignment horizontal="center"/>
    </xf>
    <xf numFmtId="168" fontId="0" fillId="0" borderId="20" xfId="1" applyNumberFormat="1" applyFont="1" applyBorder="1" applyAlignment="1">
      <alignment horizontal="center" wrapText="1"/>
    </xf>
    <xf numFmtId="0" fontId="0" fillId="2" borderId="19" xfId="0" applyFill="1" applyBorder="1"/>
    <xf numFmtId="0" fontId="0" fillId="2" borderId="20" xfId="0" applyFill="1" applyBorder="1"/>
    <xf numFmtId="0" fontId="3" fillId="2" borderId="20" xfId="0" applyFont="1" applyFill="1" applyBorder="1" applyAlignment="1"/>
    <xf numFmtId="0" fontId="6" fillId="0" borderId="20" xfId="0" applyFont="1" applyFill="1" applyBorder="1" applyAlignment="1" applyProtection="1">
      <alignment horizontal="center"/>
    </xf>
    <xf numFmtId="166" fontId="0" fillId="0" borderId="20" xfId="0" applyNumberFormat="1" applyFill="1" applyBorder="1"/>
    <xf numFmtId="0" fontId="0" fillId="2" borderId="23" xfId="0" applyFill="1" applyBorder="1"/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4" fontId="0" fillId="0" borderId="27" xfId="0" applyNumberFormat="1" applyBorder="1" applyAlignment="1">
      <alignment horizontal="center" wrapText="1"/>
    </xf>
    <xf numFmtId="44" fontId="0" fillId="0" borderId="25" xfId="2" applyFont="1" applyBorder="1" applyAlignment="1">
      <alignment horizontal="center" wrapText="1"/>
    </xf>
    <xf numFmtId="44" fontId="0" fillId="0" borderId="26" xfId="2" applyFont="1" applyBorder="1" applyAlignment="1">
      <alignment horizontal="center" wrapText="1"/>
    </xf>
    <xf numFmtId="44" fontId="0" fillId="0" borderId="28" xfId="2" applyFont="1" applyBorder="1" applyAlignment="1">
      <alignment horizontal="center" wrapText="1"/>
    </xf>
    <xf numFmtId="2" fontId="0" fillId="0" borderId="25" xfId="0" applyNumberFormat="1" applyBorder="1" applyAlignment="1">
      <alignment horizontal="center" wrapText="1"/>
    </xf>
    <xf numFmtId="2" fontId="0" fillId="0" borderId="26" xfId="0" applyNumberFormat="1" applyBorder="1" applyAlignment="1">
      <alignment horizontal="center" wrapText="1"/>
    </xf>
    <xf numFmtId="164" fontId="0" fillId="0" borderId="26" xfId="2" applyNumberFormat="1" applyFont="1" applyBorder="1" applyAlignment="1">
      <alignment horizontal="center" wrapText="1"/>
    </xf>
    <xf numFmtId="165" fontId="0" fillId="0" borderId="28" xfId="2" applyNumberFormat="1" applyFont="1" applyBorder="1" applyAlignment="1">
      <alignment horizontal="center" wrapText="1"/>
    </xf>
    <xf numFmtId="166" fontId="0" fillId="0" borderId="26" xfId="0" applyNumberFormat="1" applyFont="1" applyBorder="1"/>
    <xf numFmtId="10" fontId="0" fillId="0" borderId="28" xfId="3" applyNumberFormat="1" applyFont="1" applyBorder="1" applyAlignment="1">
      <alignment horizontal="center"/>
    </xf>
    <xf numFmtId="10" fontId="0" fillId="0" borderId="25" xfId="3" applyNumberFormat="1" applyFont="1" applyBorder="1"/>
    <xf numFmtId="44" fontId="0" fillId="0" borderId="26" xfId="0" applyNumberFormat="1" applyBorder="1"/>
    <xf numFmtId="44" fontId="0" fillId="3" borderId="26" xfId="0" applyNumberFormat="1" applyFill="1" applyBorder="1"/>
    <xf numFmtId="0" fontId="0" fillId="0" borderId="26" xfId="0" applyFill="1" applyBorder="1" applyAlignment="1" applyProtection="1">
      <alignment horizontal="center"/>
    </xf>
    <xf numFmtId="166" fontId="0" fillId="0" borderId="26" xfId="0" applyNumberFormat="1" applyBorder="1"/>
    <xf numFmtId="167" fontId="0" fillId="4" borderId="29" xfId="1" applyNumberFormat="1" applyFont="1" applyFill="1" applyBorder="1"/>
    <xf numFmtId="0" fontId="0" fillId="0" borderId="0" xfId="0" applyFill="1" applyBorder="1" applyAlignment="1">
      <alignment horizontal="left" wrapText="1"/>
    </xf>
    <xf numFmtId="169" fontId="0" fillId="0" borderId="0" xfId="0" applyNumberFormat="1" applyFill="1" applyBorder="1" applyAlignment="1">
      <alignment horizontal="left" wrapText="1"/>
    </xf>
    <xf numFmtId="165" fontId="0" fillId="0" borderId="0" xfId="2" applyNumberFormat="1" applyFont="1"/>
    <xf numFmtId="0" fontId="2" fillId="0" borderId="0" xfId="0" applyFont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/>
    </xf>
    <xf numFmtId="44" fontId="0" fillId="0" borderId="31" xfId="2" applyFont="1" applyBorder="1" applyAlignment="1">
      <alignment horizontal="center" wrapText="1"/>
    </xf>
    <xf numFmtId="44" fontId="0" fillId="0" borderId="33" xfId="2" applyFont="1" applyBorder="1" applyAlignment="1">
      <alignment horizontal="center" wrapText="1"/>
    </xf>
    <xf numFmtId="44" fontId="0" fillId="0" borderId="21" xfId="2" applyFont="1" applyBorder="1" applyAlignment="1">
      <alignment horizontal="center" wrapText="1"/>
    </xf>
    <xf numFmtId="2" fontId="0" fillId="0" borderId="31" xfId="0" applyNumberFormat="1" applyBorder="1" applyAlignment="1">
      <alignment horizontal="center" wrapText="1"/>
    </xf>
    <xf numFmtId="2" fontId="0" fillId="0" borderId="33" xfId="0" applyNumberFormat="1" applyBorder="1" applyAlignment="1">
      <alignment horizontal="center" wrapText="1"/>
    </xf>
    <xf numFmtId="164" fontId="0" fillId="0" borderId="33" xfId="2" applyNumberFormat="1" applyFont="1" applyBorder="1" applyAlignment="1">
      <alignment horizontal="center" wrapText="1"/>
    </xf>
    <xf numFmtId="44" fontId="0" fillId="0" borderId="33" xfId="0" applyNumberFormat="1" applyBorder="1" applyAlignment="1">
      <alignment horizontal="center" wrapText="1"/>
    </xf>
    <xf numFmtId="170" fontId="0" fillId="0" borderId="21" xfId="2" applyNumberFormat="1" applyFont="1" applyBorder="1" applyAlignment="1">
      <alignment horizontal="center" wrapText="1"/>
    </xf>
    <xf numFmtId="166" fontId="0" fillId="0" borderId="33" xfId="0" applyNumberFormat="1" applyFont="1" applyBorder="1"/>
    <xf numFmtId="10" fontId="0" fillId="0" borderId="21" xfId="3" applyNumberFormat="1" applyFont="1" applyBorder="1"/>
    <xf numFmtId="0" fontId="0" fillId="0" borderId="34" xfId="0" applyBorder="1" applyAlignment="1">
      <alignment horizontal="center"/>
    </xf>
    <xf numFmtId="44" fontId="0" fillId="0" borderId="20" xfId="0" applyNumberFormat="1" applyBorder="1" applyAlignment="1">
      <alignment horizontal="center" wrapText="1"/>
    </xf>
    <xf numFmtId="170" fontId="0" fillId="0" borderId="22" xfId="2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44" fontId="0" fillId="0" borderId="26" xfId="0" applyNumberFormat="1" applyBorder="1" applyAlignment="1">
      <alignment horizontal="center" wrapText="1"/>
    </xf>
    <xf numFmtId="170" fontId="0" fillId="0" borderId="28" xfId="2" applyNumberFormat="1" applyFont="1" applyBorder="1" applyAlignment="1">
      <alignment horizontal="center" wrapText="1"/>
    </xf>
    <xf numFmtId="10" fontId="0" fillId="0" borderId="27" xfId="3" applyNumberFormat="1" applyFont="1" applyBorder="1"/>
    <xf numFmtId="44" fontId="0" fillId="3" borderId="26" xfId="0" applyNumberFormat="1" applyFill="1" applyBorder="1" applyProtection="1"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3" xfId="0" applyNumberFormat="1" applyBorder="1" applyAlignment="1">
      <alignment horizontal="center" wrapText="1"/>
    </xf>
    <xf numFmtId="44" fontId="0" fillId="0" borderId="37" xfId="2" applyFont="1" applyBorder="1" applyAlignment="1">
      <alignment horizontal="center" wrapText="1"/>
    </xf>
    <xf numFmtId="44" fontId="0" fillId="0" borderId="38" xfId="2" applyFont="1" applyBorder="1" applyAlignment="1">
      <alignment horizontal="center" wrapText="1"/>
    </xf>
    <xf numFmtId="44" fontId="0" fillId="0" borderId="27" xfId="2" applyFont="1" applyBorder="1" applyAlignment="1">
      <alignment horizontal="center" wrapText="1"/>
    </xf>
    <xf numFmtId="2" fontId="0" fillId="0" borderId="37" xfId="0" applyNumberFormat="1" applyBorder="1" applyAlignment="1">
      <alignment horizontal="center" wrapText="1"/>
    </xf>
    <xf numFmtId="2" fontId="0" fillId="0" borderId="38" xfId="0" applyNumberFormat="1" applyBorder="1" applyAlignment="1">
      <alignment horizontal="center" wrapText="1"/>
    </xf>
    <xf numFmtId="164" fontId="0" fillId="0" borderId="38" xfId="2" applyNumberFormat="1" applyFont="1" applyBorder="1" applyAlignment="1">
      <alignment horizontal="center" wrapText="1"/>
    </xf>
    <xf numFmtId="164" fontId="0" fillId="0" borderId="38" xfId="0" applyNumberFormat="1" applyBorder="1" applyAlignment="1">
      <alignment horizontal="center" wrapText="1"/>
    </xf>
    <xf numFmtId="171" fontId="0" fillId="0" borderId="39" xfId="2" applyNumberFormat="1" applyFont="1" applyBorder="1" applyAlignment="1">
      <alignment horizontal="center" wrapText="1"/>
    </xf>
    <xf numFmtId="172" fontId="0" fillId="0" borderId="38" xfId="0" applyNumberFormat="1" applyFont="1" applyBorder="1"/>
    <xf numFmtId="9" fontId="0" fillId="0" borderId="40" xfId="3" applyFont="1" applyBorder="1"/>
    <xf numFmtId="10" fontId="0" fillId="0" borderId="37" xfId="3" applyNumberFormat="1" applyFont="1" applyBorder="1"/>
    <xf numFmtId="44" fontId="0" fillId="0" borderId="38" xfId="0" applyNumberFormat="1" applyBorder="1"/>
    <xf numFmtId="44" fontId="0" fillId="3" borderId="38" xfId="0" applyNumberFormat="1" applyFill="1" applyBorder="1" applyProtection="1">
      <protection locked="0"/>
    </xf>
    <xf numFmtId="166" fontId="0" fillId="0" borderId="38" xfId="0" applyNumberFormat="1" applyBorder="1"/>
    <xf numFmtId="167" fontId="0" fillId="4" borderId="39" xfId="1" applyNumberFormat="1" applyFont="1" applyFill="1" applyBorder="1"/>
    <xf numFmtId="0" fontId="5" fillId="0" borderId="4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2" fontId="0" fillId="0" borderId="37" xfId="0" applyNumberForma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 wrapText="1"/>
    </xf>
    <xf numFmtId="44" fontId="0" fillId="0" borderId="38" xfId="0" applyNumberFormat="1" applyBorder="1" applyAlignment="1">
      <alignment horizontal="center" wrapText="1"/>
    </xf>
    <xf numFmtId="166" fontId="0" fillId="0" borderId="38" xfId="0" applyNumberFormat="1" applyFont="1" applyBorder="1"/>
    <xf numFmtId="0" fontId="0" fillId="3" borderId="38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0" fontId="0" fillId="0" borderId="20" xfId="0" applyBorder="1"/>
    <xf numFmtId="173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5" borderId="4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5" fillId="5" borderId="19" xfId="0" applyFont="1" applyFill="1" applyBorder="1" applyAlignment="1">
      <alignment horizontal="center" vertical="center" wrapText="1"/>
    </xf>
    <xf numFmtId="0" fontId="0" fillId="0" borderId="22" xfId="0" quotePrefix="1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0" fillId="5" borderId="19" xfId="0" applyFill="1" applyBorder="1" applyAlignment="1">
      <alignment horizontal="center"/>
    </xf>
    <xf numFmtId="0" fontId="0" fillId="5" borderId="19" xfId="0" quotePrefix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5" borderId="44" xfId="0" applyFill="1" applyBorder="1" applyAlignment="1">
      <alignment horizontal="center"/>
    </xf>
    <xf numFmtId="0" fontId="0" fillId="3" borderId="19" xfId="0" applyFill="1" applyBorder="1"/>
    <xf numFmtId="0" fontId="0" fillId="4" borderId="25" xfId="0" applyFill="1" applyBorder="1"/>
    <xf numFmtId="0" fontId="9" fillId="0" borderId="0" xfId="0" applyFont="1"/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14" fontId="0" fillId="0" borderId="20" xfId="0" applyNumberFormat="1" applyBorder="1" applyAlignment="1">
      <alignment horizontal="center"/>
    </xf>
    <xf numFmtId="14" fontId="0" fillId="0" borderId="20" xfId="0" quotePrefix="1" applyNumberFormat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0" fillId="0" borderId="22" xfId="0" quotePrefix="1" applyBorder="1" applyAlignment="1">
      <alignment horizontal="left"/>
    </xf>
    <xf numFmtId="0" fontId="0" fillId="0" borderId="48" xfId="0" quotePrefix="1" applyBorder="1" applyAlignment="1">
      <alignment horizontal="left"/>
    </xf>
    <xf numFmtId="0" fontId="0" fillId="0" borderId="49" xfId="0" quotePrefix="1" applyBorder="1" applyAlignment="1">
      <alignment horizontal="left"/>
    </xf>
    <xf numFmtId="0" fontId="0" fillId="0" borderId="20" xfId="0" quotePrefix="1" applyBorder="1" applyAlignment="1">
      <alignment horizontal="left"/>
    </xf>
    <xf numFmtId="0" fontId="0" fillId="0" borderId="23" xfId="0" quotePrefix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22" xfId="0" quotePrefix="1" applyFont="1" applyBorder="1" applyAlignment="1">
      <alignment horizontal="left"/>
    </xf>
    <xf numFmtId="0" fontId="2" fillId="0" borderId="48" xfId="0" quotePrefix="1" applyFont="1" applyBorder="1" applyAlignment="1">
      <alignment horizontal="left"/>
    </xf>
    <xf numFmtId="0" fontId="2" fillId="0" borderId="49" xfId="0" quotePrefix="1" applyFont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</cellXfs>
  <cellStyles count="7">
    <cellStyle name="Migliaia" xfId="1" builtinId="3"/>
    <cellStyle name="Migliaia [0] 2" xfId="4"/>
    <cellStyle name="Migliaia 2" xfId="5"/>
    <cellStyle name="Normale" xfId="0" builtinId="0"/>
    <cellStyle name="Normale 2" xfId="6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8"/>
  <sheetViews>
    <sheetView tabSelected="1" workbookViewId="0">
      <selection activeCell="C47" sqref="C47"/>
    </sheetView>
  </sheetViews>
  <sheetFormatPr defaultRowHeight="15" x14ac:dyDescent="0.25"/>
  <cols>
    <col min="1" max="1" width="13.42578125" customWidth="1"/>
    <col min="2" max="2" width="17.5703125" customWidth="1"/>
    <col min="3" max="3" width="53.42578125" customWidth="1"/>
    <col min="4" max="4" width="15.5703125" customWidth="1"/>
    <col min="5" max="5" width="17.28515625" customWidth="1"/>
    <col min="6" max="7" width="10.7109375" customWidth="1"/>
    <col min="8" max="8" width="12.85546875" customWidth="1"/>
    <col min="9" max="10" width="10.42578125" customWidth="1"/>
    <col min="11" max="11" width="15.7109375" customWidth="1"/>
    <col min="12" max="12" width="11.7109375" hidden="1" customWidth="1"/>
    <col min="13" max="13" width="17.42578125" hidden="1" customWidth="1"/>
    <col min="14" max="14" width="13.28515625" hidden="1" customWidth="1"/>
    <col min="15" max="15" width="13.28515625" customWidth="1"/>
    <col min="16" max="16" width="13.140625" customWidth="1"/>
    <col min="17" max="17" width="15" customWidth="1"/>
    <col min="18" max="18" width="20.28515625" customWidth="1"/>
    <col min="19" max="19" width="15.5703125" customWidth="1"/>
    <col min="20" max="20" width="12.28515625" customWidth="1"/>
    <col min="21" max="21" width="14.28515625" customWidth="1"/>
    <col min="22" max="22" width="18.85546875" customWidth="1"/>
    <col min="23" max="23" width="13" customWidth="1"/>
  </cols>
  <sheetData>
    <row r="1" spans="2:22" x14ac:dyDescent="0.25"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2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</row>
    <row r="3" spans="2:22" ht="15.75" thickBot="1" x14ac:dyDescent="0.3">
      <c r="P3" s="2"/>
      <c r="Q3" s="3"/>
      <c r="R3" s="3"/>
      <c r="S3" s="3"/>
      <c r="T3" s="3"/>
    </row>
    <row r="4" spans="2:22" ht="19.5" thickBot="1" x14ac:dyDescent="0.35">
      <c r="B4" s="168" t="s">
        <v>0</v>
      </c>
      <c r="D4" s="1"/>
      <c r="E4" s="1"/>
      <c r="F4" s="4" t="s">
        <v>1</v>
      </c>
      <c r="G4" s="5" t="s">
        <v>2</v>
      </c>
      <c r="H4" s="6" t="s">
        <v>3</v>
      </c>
      <c r="I4" s="4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6" t="s">
        <v>11</v>
      </c>
      <c r="Q4" s="4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7" t="s">
        <v>17</v>
      </c>
    </row>
    <row r="5" spans="2:22" ht="75.75" thickBot="1" x14ac:dyDescent="0.3">
      <c r="B5" s="8" t="s">
        <v>18</v>
      </c>
      <c r="C5" s="9" t="s">
        <v>19</v>
      </c>
      <c r="D5" s="10" t="s">
        <v>82</v>
      </c>
      <c r="E5" s="11" t="s">
        <v>81</v>
      </c>
      <c r="F5" s="12" t="s">
        <v>80</v>
      </c>
      <c r="G5" s="13" t="s">
        <v>84</v>
      </c>
      <c r="H5" s="14" t="s">
        <v>83</v>
      </c>
      <c r="I5" s="12" t="s">
        <v>90</v>
      </c>
      <c r="J5" s="13" t="s">
        <v>20</v>
      </c>
      <c r="K5" s="13" t="s">
        <v>21</v>
      </c>
      <c r="L5" s="13" t="s">
        <v>22</v>
      </c>
      <c r="M5" s="13" t="s">
        <v>23</v>
      </c>
      <c r="N5" s="15" t="s">
        <v>24</v>
      </c>
      <c r="O5" s="15" t="s">
        <v>25</v>
      </c>
      <c r="P5" s="16" t="s">
        <v>26</v>
      </c>
      <c r="Q5" s="12" t="s">
        <v>27</v>
      </c>
      <c r="R5" s="13" t="s">
        <v>85</v>
      </c>
      <c r="S5" s="116" t="s">
        <v>86</v>
      </c>
      <c r="T5" s="116" t="s">
        <v>28</v>
      </c>
      <c r="U5" s="116" t="s">
        <v>76</v>
      </c>
      <c r="V5" s="119" t="s">
        <v>77</v>
      </c>
    </row>
    <row r="6" spans="2:22" x14ac:dyDescent="0.25">
      <c r="B6" s="17" t="s">
        <v>30</v>
      </c>
      <c r="C6" s="18" t="s">
        <v>31</v>
      </c>
      <c r="D6" s="19">
        <v>1280</v>
      </c>
      <c r="E6" s="20">
        <v>44600</v>
      </c>
      <c r="F6" s="21">
        <v>195</v>
      </c>
      <c r="G6" s="22">
        <v>215</v>
      </c>
      <c r="H6" s="23">
        <f>AVERAGE(F6:G6)</f>
        <v>205</v>
      </c>
      <c r="I6" s="24">
        <v>39</v>
      </c>
      <c r="J6" s="25">
        <v>40</v>
      </c>
      <c r="K6" s="26">
        <f>+H6*J6/I6/1000</f>
        <v>0.21025641025641026</v>
      </c>
      <c r="L6" s="26">
        <f>400/8000</f>
        <v>0.05</v>
      </c>
      <c r="M6" s="26">
        <f t="shared" ref="M6:M11" si="0">+L6+K6</f>
        <v>0.26025641025641028</v>
      </c>
      <c r="N6" s="27">
        <f>+M6*1.15*1.1</f>
        <v>0.32922435897435898</v>
      </c>
      <c r="O6" s="28">
        <f>CEILING(N6,0.001)</f>
        <v>0.33</v>
      </c>
      <c r="P6" s="29">
        <f>+K6/O6</f>
        <v>0.63714063714063707</v>
      </c>
      <c r="Q6" s="30">
        <f>+(S6-R6)/R6</f>
        <v>0</v>
      </c>
      <c r="R6" s="31">
        <f>+H6</f>
        <v>205</v>
      </c>
      <c r="S6" s="32">
        <v>205</v>
      </c>
      <c r="T6" s="33">
        <v>0</v>
      </c>
      <c r="U6" s="34">
        <f>+O6*(100-T6)/100</f>
        <v>0.33</v>
      </c>
      <c r="V6" s="35">
        <f>++U6+(S6-R6)/R6*100*P6*U6/100</f>
        <v>0.33</v>
      </c>
    </row>
    <row r="7" spans="2:22" x14ac:dyDescent="0.25">
      <c r="B7" s="36" t="s">
        <v>32</v>
      </c>
      <c r="C7" s="37" t="s">
        <v>33</v>
      </c>
      <c r="D7" s="38">
        <v>2451</v>
      </c>
      <c r="E7" s="39">
        <v>44600</v>
      </c>
      <c r="F7" s="40">
        <v>893</v>
      </c>
      <c r="G7" s="41">
        <v>953</v>
      </c>
      <c r="H7" s="42">
        <f>AVERAGE(F7:G7)</f>
        <v>923</v>
      </c>
      <c r="I7" s="43">
        <v>100</v>
      </c>
      <c r="J7" s="44">
        <v>30</v>
      </c>
      <c r="K7" s="45">
        <f>+H7*J7/I7/1000</f>
        <v>0.27689999999999998</v>
      </c>
      <c r="L7" s="45">
        <f>400/8000</f>
        <v>0.05</v>
      </c>
      <c r="M7" s="45">
        <f t="shared" si="0"/>
        <v>0.32689999999999997</v>
      </c>
      <c r="N7" s="46">
        <f t="shared" ref="N7:N11" si="1">+M7*1.15*1.1</f>
        <v>0.41352849999999991</v>
      </c>
      <c r="O7" s="47">
        <f t="shared" ref="O7:O11" si="2">CEILING(N7,0.001)</f>
        <v>0.41400000000000003</v>
      </c>
      <c r="P7" s="48">
        <f>+K7/O7</f>
        <v>0.66884057971014477</v>
      </c>
      <c r="Q7" s="49">
        <f>+(S7-R7)/R7</f>
        <v>0</v>
      </c>
      <c r="R7" s="50">
        <f>+H7</f>
        <v>923</v>
      </c>
      <c r="S7" s="51">
        <v>923</v>
      </c>
      <c r="T7" s="52">
        <f>+T6</f>
        <v>0</v>
      </c>
      <c r="U7" s="53">
        <f t="shared" ref="U7:U11" si="3">+O7*(100-T7)/100</f>
        <v>0.41400000000000003</v>
      </c>
      <c r="V7" s="54">
        <f t="shared" ref="V7:V9" si="4">++U7+(S7-R7)/R7*100*P7*U7/100</f>
        <v>0.41400000000000003</v>
      </c>
    </row>
    <row r="8" spans="2:22" x14ac:dyDescent="0.25">
      <c r="B8" s="36" t="s">
        <v>34</v>
      </c>
      <c r="C8" s="37" t="s">
        <v>35</v>
      </c>
      <c r="D8" s="38">
        <v>280</v>
      </c>
      <c r="E8" s="39">
        <v>44600</v>
      </c>
      <c r="F8" s="40">
        <v>275</v>
      </c>
      <c r="G8" s="41">
        <v>290</v>
      </c>
      <c r="H8" s="42">
        <f>AVERAGE(F8:G8)</f>
        <v>282.5</v>
      </c>
      <c r="I8" s="43">
        <v>62.5</v>
      </c>
      <c r="J8" s="44">
        <v>30</v>
      </c>
      <c r="K8" s="45">
        <f>+H8*J8/I8/1000</f>
        <v>0.1356</v>
      </c>
      <c r="L8" s="45">
        <f>400/8000</f>
        <v>0.05</v>
      </c>
      <c r="M8" s="45">
        <f t="shared" si="0"/>
        <v>0.18559999999999999</v>
      </c>
      <c r="N8" s="46">
        <f t="shared" si="1"/>
        <v>0.23478399999999996</v>
      </c>
      <c r="O8" s="47">
        <f t="shared" si="2"/>
        <v>0.23500000000000001</v>
      </c>
      <c r="P8" s="48">
        <f>+K8/O8</f>
        <v>0.57702127659574465</v>
      </c>
      <c r="Q8" s="49">
        <f>+(S8-R8)/R8</f>
        <v>0</v>
      </c>
      <c r="R8" s="50">
        <f>+H8</f>
        <v>282.5</v>
      </c>
      <c r="S8" s="51">
        <v>282.5</v>
      </c>
      <c r="T8" s="52">
        <f>+T6</f>
        <v>0</v>
      </c>
      <c r="U8" s="53">
        <f t="shared" si="3"/>
        <v>0.23499999999999999</v>
      </c>
      <c r="V8" s="54">
        <f t="shared" si="4"/>
        <v>0.23499999999999999</v>
      </c>
    </row>
    <row r="9" spans="2:22" x14ac:dyDescent="0.25">
      <c r="B9" s="36" t="s">
        <v>36</v>
      </c>
      <c r="C9" s="37" t="s">
        <v>37</v>
      </c>
      <c r="D9" s="38">
        <v>155</v>
      </c>
      <c r="E9" s="39">
        <v>44600</v>
      </c>
      <c r="F9" s="40">
        <v>3800</v>
      </c>
      <c r="G9" s="41">
        <v>3960</v>
      </c>
      <c r="H9" s="42">
        <f>AVERAGE(F9:G9)</f>
        <v>3880</v>
      </c>
      <c r="I9" s="43">
        <v>100</v>
      </c>
      <c r="J9" s="44">
        <v>50</v>
      </c>
      <c r="K9" s="45">
        <f>+H9*J9/I9/1000</f>
        <v>1.94</v>
      </c>
      <c r="L9" s="45">
        <f>400/8000</f>
        <v>0.05</v>
      </c>
      <c r="M9" s="45">
        <f t="shared" si="0"/>
        <v>1.99</v>
      </c>
      <c r="N9" s="46">
        <f t="shared" si="1"/>
        <v>2.51735</v>
      </c>
      <c r="O9" s="47">
        <f t="shared" si="2"/>
        <v>2.5180000000000002</v>
      </c>
      <c r="P9" s="48">
        <f>+K9/O9</f>
        <v>0.7704527402700555</v>
      </c>
      <c r="Q9" s="49">
        <f>+(S9-R9)/R9</f>
        <v>0</v>
      </c>
      <c r="R9" s="50">
        <f>+H9</f>
        <v>3880</v>
      </c>
      <c r="S9" s="51">
        <v>3880</v>
      </c>
      <c r="T9" s="52">
        <f>+T6</f>
        <v>0</v>
      </c>
      <c r="U9" s="53">
        <f t="shared" si="3"/>
        <v>2.5180000000000002</v>
      </c>
      <c r="V9" s="54">
        <f t="shared" si="4"/>
        <v>2.5180000000000002</v>
      </c>
    </row>
    <row r="10" spans="2:22" ht="30" x14ac:dyDescent="0.25">
      <c r="B10" s="36" t="s">
        <v>38</v>
      </c>
      <c r="C10" s="37" t="s">
        <v>39</v>
      </c>
      <c r="D10" s="55"/>
      <c r="E10" s="56"/>
      <c r="F10" s="57"/>
      <c r="G10" s="55"/>
      <c r="H10" s="58"/>
      <c r="I10" s="59"/>
      <c r="J10" s="60"/>
      <c r="K10" s="45">
        <v>0.1</v>
      </c>
      <c r="L10" s="61">
        <v>1.8518518518518517E-2</v>
      </c>
      <c r="M10" s="45">
        <f t="shared" si="0"/>
        <v>0.11851851851851852</v>
      </c>
      <c r="N10" s="46">
        <f t="shared" si="1"/>
        <v>0.14992592592592593</v>
      </c>
      <c r="O10" s="47">
        <f t="shared" si="2"/>
        <v>0.15</v>
      </c>
      <c r="P10" s="56"/>
      <c r="Q10" s="62"/>
      <c r="R10" s="63"/>
      <c r="S10" s="64"/>
      <c r="T10" s="65">
        <f>+T6</f>
        <v>0</v>
      </c>
      <c r="U10" s="66">
        <f t="shared" si="3"/>
        <v>0.15</v>
      </c>
      <c r="V10" s="67"/>
    </row>
    <row r="11" spans="2:22" ht="15.75" thickBot="1" x14ac:dyDescent="0.3">
      <c r="B11" s="68" t="s">
        <v>40</v>
      </c>
      <c r="C11" s="69" t="s">
        <v>41</v>
      </c>
      <c r="D11" s="70">
        <v>120</v>
      </c>
      <c r="E11" s="71">
        <v>44600</v>
      </c>
      <c r="F11" s="72">
        <v>1505</v>
      </c>
      <c r="G11" s="73">
        <v>1545</v>
      </c>
      <c r="H11" s="74">
        <f>AVERAGE(F11:G11)</f>
        <v>1525</v>
      </c>
      <c r="I11" s="75">
        <v>99.5</v>
      </c>
      <c r="J11" s="76">
        <v>80</v>
      </c>
      <c r="K11" s="77">
        <f>+H11*J11/I11/1000</f>
        <v>1.2261306532663316</v>
      </c>
      <c r="L11" s="77">
        <f>400/8000</f>
        <v>0.05</v>
      </c>
      <c r="M11" s="77">
        <f t="shared" si="0"/>
        <v>1.2761306532663317</v>
      </c>
      <c r="N11" s="78">
        <f t="shared" si="1"/>
        <v>1.6143052763819095</v>
      </c>
      <c r="O11" s="79">
        <f t="shared" si="2"/>
        <v>1.615</v>
      </c>
      <c r="P11" s="80">
        <f>+K11/O11</f>
        <v>0.75921402679029826</v>
      </c>
      <c r="Q11" s="81">
        <f>+(S11-R11)/R11</f>
        <v>0</v>
      </c>
      <c r="R11" s="82">
        <f>+H11</f>
        <v>1525</v>
      </c>
      <c r="S11" s="83">
        <v>1525</v>
      </c>
      <c r="T11" s="84">
        <f>+T7</f>
        <v>0</v>
      </c>
      <c r="U11" s="85">
        <f t="shared" si="3"/>
        <v>1.615</v>
      </c>
      <c r="V11" s="86">
        <f>++U11+(S11-R11)/R11*100*P11*U11/100</f>
        <v>1.615</v>
      </c>
    </row>
    <row r="12" spans="2:22" ht="15" customHeight="1" thickBot="1" x14ac:dyDescent="0.3"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8"/>
      <c r="P12" s="2"/>
      <c r="T12" s="89"/>
    </row>
    <row r="13" spans="2:22" ht="19.5" thickBot="1" x14ac:dyDescent="0.35">
      <c r="B13" s="168" t="s">
        <v>42</v>
      </c>
      <c r="D13" s="90"/>
      <c r="E13" s="90"/>
      <c r="F13" s="4" t="s">
        <v>1</v>
      </c>
      <c r="G13" s="5" t="s">
        <v>2</v>
      </c>
      <c r="H13" s="6" t="s">
        <v>3</v>
      </c>
      <c r="I13" s="4" t="s">
        <v>4</v>
      </c>
      <c r="J13" s="5" t="s">
        <v>5</v>
      </c>
      <c r="K13" s="5" t="s">
        <v>6</v>
      </c>
      <c r="L13" s="5" t="s">
        <v>7</v>
      </c>
      <c r="M13" s="5" t="s">
        <v>8</v>
      </c>
      <c r="N13" s="5" t="s">
        <v>9</v>
      </c>
      <c r="O13" s="5" t="s">
        <v>10</v>
      </c>
      <c r="P13" s="6" t="s">
        <v>11</v>
      </c>
      <c r="Q13" s="4" t="s">
        <v>12</v>
      </c>
      <c r="R13" s="5" t="s">
        <v>13</v>
      </c>
      <c r="S13" s="5" t="s">
        <v>14</v>
      </c>
      <c r="T13" s="5" t="s">
        <v>15</v>
      </c>
      <c r="U13" s="5" t="s">
        <v>16</v>
      </c>
      <c r="V13" s="7" t="s">
        <v>17</v>
      </c>
    </row>
    <row r="14" spans="2:22" ht="75.75" thickBot="1" x14ac:dyDescent="0.3">
      <c r="B14" s="4" t="s">
        <v>18</v>
      </c>
      <c r="C14" s="91" t="s">
        <v>19</v>
      </c>
      <c r="D14" s="10" t="s">
        <v>82</v>
      </c>
      <c r="E14" s="91" t="s">
        <v>81</v>
      </c>
      <c r="F14" s="12" t="s">
        <v>80</v>
      </c>
      <c r="G14" s="13" t="s">
        <v>84</v>
      </c>
      <c r="H14" s="14" t="s">
        <v>83</v>
      </c>
      <c r="I14" s="12" t="s">
        <v>90</v>
      </c>
      <c r="J14" s="13" t="s">
        <v>20</v>
      </c>
      <c r="K14" s="13" t="s">
        <v>21</v>
      </c>
      <c r="L14" s="13" t="s">
        <v>22</v>
      </c>
      <c r="M14" s="13" t="s">
        <v>43</v>
      </c>
      <c r="N14" s="15" t="s">
        <v>24</v>
      </c>
      <c r="O14" s="15" t="s">
        <v>25</v>
      </c>
      <c r="P14" s="16" t="s">
        <v>26</v>
      </c>
      <c r="Q14" s="12" t="s">
        <v>27</v>
      </c>
      <c r="R14" s="13" t="s">
        <v>85</v>
      </c>
      <c r="S14" s="116" t="s">
        <v>86</v>
      </c>
      <c r="T14" s="116" t="s">
        <v>28</v>
      </c>
      <c r="U14" s="116" t="s">
        <v>29</v>
      </c>
      <c r="V14" s="119" t="s">
        <v>77</v>
      </c>
    </row>
    <row r="15" spans="2:22" x14ac:dyDescent="0.25">
      <c r="B15" s="92" t="s">
        <v>44</v>
      </c>
      <c r="C15" s="93" t="s">
        <v>31</v>
      </c>
      <c r="D15" s="94">
        <v>1280</v>
      </c>
      <c r="E15" s="39">
        <v>44600</v>
      </c>
      <c r="F15" s="95">
        <v>195</v>
      </c>
      <c r="G15" s="96">
        <v>215</v>
      </c>
      <c r="H15" s="97">
        <f t="shared" ref="H15:H20" si="5">AVERAGE(F15:G15)</f>
        <v>205</v>
      </c>
      <c r="I15" s="98">
        <v>39</v>
      </c>
      <c r="J15" s="99">
        <v>40</v>
      </c>
      <c r="K15" s="100">
        <f t="shared" ref="K15:K20" si="6">+H15*J15/I15/1000</f>
        <v>0.21025641025641026</v>
      </c>
      <c r="L15" s="96">
        <f>300/2/1500</f>
        <v>0.1</v>
      </c>
      <c r="M15" s="101">
        <f t="shared" ref="M15:M20" si="7">+L15+K15</f>
        <v>0.31025641025641026</v>
      </c>
      <c r="N15" s="102">
        <f t="shared" ref="N15:N20" si="8">+M15*1.15*1.1</f>
        <v>0.39247435897435901</v>
      </c>
      <c r="O15" s="103">
        <f>CEILING(N15,0.001)</f>
        <v>0.39300000000000002</v>
      </c>
      <c r="P15" s="104">
        <f t="shared" ref="P15:P20" si="9">+K15/O15</f>
        <v>0.53500358843870288</v>
      </c>
      <c r="Q15" s="30">
        <f>+(S15-R15)/R15</f>
        <v>0</v>
      </c>
      <c r="R15" s="31">
        <f t="shared" ref="R15:R20" si="10">+H15</f>
        <v>205</v>
      </c>
      <c r="S15" s="32">
        <v>205</v>
      </c>
      <c r="T15" s="33">
        <v>0</v>
      </c>
      <c r="U15" s="34">
        <f>+O15*(100-T15)/100</f>
        <v>0.39300000000000002</v>
      </c>
      <c r="V15" s="35">
        <f t="shared" ref="V15:V20" si="11">++U15+(S15-R15)/R15*100*P15*U15/100</f>
        <v>0.39300000000000002</v>
      </c>
    </row>
    <row r="16" spans="2:22" x14ac:dyDescent="0.25">
      <c r="B16" s="36" t="s">
        <v>45</v>
      </c>
      <c r="C16" s="37" t="s">
        <v>33</v>
      </c>
      <c r="D16" s="105">
        <v>2451</v>
      </c>
      <c r="E16" s="39">
        <v>44600</v>
      </c>
      <c r="F16" s="40">
        <f>+F7</f>
        <v>893</v>
      </c>
      <c r="G16" s="41">
        <f>+G7</f>
        <v>953</v>
      </c>
      <c r="H16" s="42">
        <f t="shared" si="5"/>
        <v>923</v>
      </c>
      <c r="I16" s="43">
        <v>100</v>
      </c>
      <c r="J16" s="44">
        <v>30</v>
      </c>
      <c r="K16" s="45">
        <f t="shared" si="6"/>
        <v>0.27689999999999998</v>
      </c>
      <c r="L16" s="41">
        <f t="shared" ref="L16:L20" si="12">300/2/1500</f>
        <v>0.1</v>
      </c>
      <c r="M16" s="106">
        <f t="shared" si="7"/>
        <v>0.37690000000000001</v>
      </c>
      <c r="N16" s="107">
        <f t="shared" si="8"/>
        <v>0.47677849999999999</v>
      </c>
      <c r="O16" s="47">
        <f t="shared" ref="O16:O20" si="13">CEILING(N16,0.001)</f>
        <v>0.47700000000000004</v>
      </c>
      <c r="P16" s="104">
        <f t="shared" si="9"/>
        <v>0.58050314465408792</v>
      </c>
      <c r="Q16" s="49">
        <f t="shared" ref="Q16:Q20" si="14">+(S16-R16)/R16</f>
        <v>0</v>
      </c>
      <c r="R16" s="50">
        <f t="shared" si="10"/>
        <v>923</v>
      </c>
      <c r="S16" s="51">
        <v>923</v>
      </c>
      <c r="T16" s="52">
        <f>+T15</f>
        <v>0</v>
      </c>
      <c r="U16" s="53">
        <f t="shared" ref="U16:U20" si="15">+O16*(100-T16)/100</f>
        <v>0.47700000000000004</v>
      </c>
      <c r="V16" s="54">
        <f t="shared" si="11"/>
        <v>0.47700000000000004</v>
      </c>
    </row>
    <row r="17" spans="2:22" x14ac:dyDescent="0.25">
      <c r="B17" s="36" t="s">
        <v>46</v>
      </c>
      <c r="C17" s="37" t="s">
        <v>35</v>
      </c>
      <c r="D17" s="105">
        <v>280</v>
      </c>
      <c r="E17" s="39">
        <v>44600</v>
      </c>
      <c r="F17" s="40">
        <f>+F8</f>
        <v>275</v>
      </c>
      <c r="G17" s="41">
        <f>+G8</f>
        <v>290</v>
      </c>
      <c r="H17" s="42">
        <f t="shared" si="5"/>
        <v>282.5</v>
      </c>
      <c r="I17" s="43">
        <v>62.5</v>
      </c>
      <c r="J17" s="44">
        <v>30</v>
      </c>
      <c r="K17" s="45">
        <f t="shared" si="6"/>
        <v>0.1356</v>
      </c>
      <c r="L17" s="41">
        <f t="shared" si="12"/>
        <v>0.1</v>
      </c>
      <c r="M17" s="106">
        <f t="shared" si="7"/>
        <v>0.2356</v>
      </c>
      <c r="N17" s="107">
        <f t="shared" si="8"/>
        <v>0.29803399999999997</v>
      </c>
      <c r="O17" s="47">
        <f t="shared" si="13"/>
        <v>0.29899999999999999</v>
      </c>
      <c r="P17" s="104">
        <f t="shared" si="9"/>
        <v>0.45351170568561872</v>
      </c>
      <c r="Q17" s="49">
        <f t="shared" si="14"/>
        <v>0</v>
      </c>
      <c r="R17" s="50">
        <f t="shared" si="10"/>
        <v>282.5</v>
      </c>
      <c r="S17" s="51">
        <v>282.5</v>
      </c>
      <c r="T17" s="52">
        <f>+T15</f>
        <v>0</v>
      </c>
      <c r="U17" s="53">
        <f t="shared" si="15"/>
        <v>0.29899999999999999</v>
      </c>
      <c r="V17" s="54">
        <f t="shared" si="11"/>
        <v>0.29899999999999999</v>
      </c>
    </row>
    <row r="18" spans="2:22" x14ac:dyDescent="0.25">
      <c r="B18" s="36" t="s">
        <v>47</v>
      </c>
      <c r="C18" s="108" t="s">
        <v>41</v>
      </c>
      <c r="D18" s="109">
        <v>120</v>
      </c>
      <c r="E18" s="39">
        <v>44600</v>
      </c>
      <c r="F18" s="40">
        <f>+F11</f>
        <v>1505</v>
      </c>
      <c r="G18" s="41">
        <f>+G11</f>
        <v>1545</v>
      </c>
      <c r="H18" s="42">
        <f t="shared" si="5"/>
        <v>1525</v>
      </c>
      <c r="I18" s="43">
        <v>99.5</v>
      </c>
      <c r="J18" s="44">
        <v>80</v>
      </c>
      <c r="K18" s="45">
        <f t="shared" si="6"/>
        <v>1.2261306532663316</v>
      </c>
      <c r="L18" s="41">
        <f t="shared" si="12"/>
        <v>0.1</v>
      </c>
      <c r="M18" s="106">
        <f t="shared" si="7"/>
        <v>1.3261306532663317</v>
      </c>
      <c r="N18" s="107">
        <f t="shared" si="8"/>
        <v>1.6775552763819097</v>
      </c>
      <c r="O18" s="47">
        <f t="shared" si="13"/>
        <v>1.6779999999999999</v>
      </c>
      <c r="P18" s="104">
        <f t="shared" si="9"/>
        <v>0.73070956690484601</v>
      </c>
      <c r="Q18" s="49">
        <f t="shared" si="14"/>
        <v>0</v>
      </c>
      <c r="R18" s="50">
        <f t="shared" si="10"/>
        <v>1525</v>
      </c>
      <c r="S18" s="51">
        <v>1525</v>
      </c>
      <c r="T18" s="52">
        <f>+T15</f>
        <v>0</v>
      </c>
      <c r="U18" s="53">
        <f t="shared" si="15"/>
        <v>1.6779999999999999</v>
      </c>
      <c r="V18" s="54">
        <f t="shared" si="11"/>
        <v>1.6779999999999999</v>
      </c>
    </row>
    <row r="19" spans="2:22" x14ac:dyDescent="0.25">
      <c r="B19" s="36" t="s">
        <v>48</v>
      </c>
      <c r="C19" s="108" t="s">
        <v>37</v>
      </c>
      <c r="D19" s="109">
        <v>155</v>
      </c>
      <c r="E19" s="39">
        <v>44600</v>
      </c>
      <c r="F19" s="40">
        <f>+F9</f>
        <v>3800</v>
      </c>
      <c r="G19" s="41">
        <f>+G9</f>
        <v>3960</v>
      </c>
      <c r="H19" s="42">
        <f t="shared" si="5"/>
        <v>3880</v>
      </c>
      <c r="I19" s="43">
        <v>100</v>
      </c>
      <c r="J19" s="44">
        <v>50</v>
      </c>
      <c r="K19" s="45">
        <f t="shared" si="6"/>
        <v>1.94</v>
      </c>
      <c r="L19" s="41">
        <f t="shared" si="12"/>
        <v>0.1</v>
      </c>
      <c r="M19" s="106">
        <f t="shared" si="7"/>
        <v>2.04</v>
      </c>
      <c r="N19" s="107">
        <f t="shared" si="8"/>
        <v>2.5806</v>
      </c>
      <c r="O19" s="47">
        <f t="shared" si="13"/>
        <v>2.581</v>
      </c>
      <c r="P19" s="104">
        <f t="shared" si="9"/>
        <v>0.75164664858581942</v>
      </c>
      <c r="Q19" s="49">
        <f t="shared" si="14"/>
        <v>0</v>
      </c>
      <c r="R19" s="50">
        <f t="shared" si="10"/>
        <v>3880</v>
      </c>
      <c r="S19" s="51">
        <v>3880</v>
      </c>
      <c r="T19" s="52">
        <f>+T15</f>
        <v>0</v>
      </c>
      <c r="U19" s="53">
        <f t="shared" si="15"/>
        <v>2.5810000000000004</v>
      </c>
      <c r="V19" s="54">
        <f t="shared" si="11"/>
        <v>2.5810000000000004</v>
      </c>
    </row>
    <row r="20" spans="2:22" ht="15.75" thickBot="1" x14ac:dyDescent="0.3">
      <c r="B20" s="68" t="s">
        <v>49</v>
      </c>
      <c r="C20" s="110" t="s">
        <v>50</v>
      </c>
      <c r="D20" s="111">
        <v>200</v>
      </c>
      <c r="E20" s="71">
        <v>44600</v>
      </c>
      <c r="F20" s="72">
        <v>1650</v>
      </c>
      <c r="G20" s="73">
        <v>1700</v>
      </c>
      <c r="H20" s="74">
        <f t="shared" si="5"/>
        <v>1675</v>
      </c>
      <c r="I20" s="75">
        <v>85</v>
      </c>
      <c r="J20" s="76">
        <v>20</v>
      </c>
      <c r="K20" s="77">
        <f t="shared" si="6"/>
        <v>0.39411764705882352</v>
      </c>
      <c r="L20" s="73">
        <f t="shared" si="12"/>
        <v>0.1</v>
      </c>
      <c r="M20" s="112">
        <f t="shared" si="7"/>
        <v>0.49411764705882355</v>
      </c>
      <c r="N20" s="113">
        <f t="shared" si="8"/>
        <v>0.62505882352941178</v>
      </c>
      <c r="O20" s="79">
        <f t="shared" si="13"/>
        <v>0.626</v>
      </c>
      <c r="P20" s="114">
        <f t="shared" si="9"/>
        <v>0.629580905844766</v>
      </c>
      <c r="Q20" s="81">
        <f t="shared" si="14"/>
        <v>0</v>
      </c>
      <c r="R20" s="82">
        <f t="shared" si="10"/>
        <v>1675</v>
      </c>
      <c r="S20" s="115">
        <v>1675</v>
      </c>
      <c r="T20" s="84">
        <f>+T15</f>
        <v>0</v>
      </c>
      <c r="U20" s="85">
        <f t="shared" si="15"/>
        <v>0.626</v>
      </c>
      <c r="V20" s="86">
        <f t="shared" si="11"/>
        <v>0.626</v>
      </c>
    </row>
    <row r="22" spans="2:22" ht="15.75" thickBot="1" x14ac:dyDescent="0.3"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87"/>
    </row>
    <row r="23" spans="2:22" ht="19.5" thickBot="1" x14ac:dyDescent="0.35">
      <c r="B23" s="168" t="s">
        <v>51</v>
      </c>
      <c r="C23" s="90"/>
      <c r="D23" s="90"/>
      <c r="E23" s="90"/>
      <c r="F23" s="4" t="s">
        <v>1</v>
      </c>
      <c r="G23" s="5" t="s">
        <v>2</v>
      </c>
      <c r="H23" s="6" t="s">
        <v>3</v>
      </c>
      <c r="I23" s="4" t="s">
        <v>4</v>
      </c>
      <c r="J23" s="5" t="s">
        <v>5</v>
      </c>
      <c r="K23" s="5" t="s">
        <v>6</v>
      </c>
      <c r="L23" s="5" t="s">
        <v>7</v>
      </c>
      <c r="M23" s="5" t="s">
        <v>8</v>
      </c>
      <c r="N23" s="5" t="s">
        <v>9</v>
      </c>
      <c r="O23" s="5" t="s">
        <v>10</v>
      </c>
      <c r="P23" s="6" t="s">
        <v>11</v>
      </c>
      <c r="Q23" s="4" t="s">
        <v>12</v>
      </c>
      <c r="R23" s="5" t="s">
        <v>13</v>
      </c>
      <c r="S23" s="5" t="s">
        <v>14</v>
      </c>
      <c r="T23" s="5" t="s">
        <v>15</v>
      </c>
      <c r="U23" s="5" t="s">
        <v>16</v>
      </c>
      <c r="V23" s="7" t="s">
        <v>17</v>
      </c>
    </row>
    <row r="24" spans="2:22" ht="75.75" thickBot="1" x14ac:dyDescent="0.3">
      <c r="B24" s="4" t="s">
        <v>18</v>
      </c>
      <c r="C24" s="4" t="s">
        <v>52</v>
      </c>
      <c r="D24" s="10" t="s">
        <v>82</v>
      </c>
      <c r="E24" s="91" t="s">
        <v>81</v>
      </c>
      <c r="F24" s="12" t="s">
        <v>80</v>
      </c>
      <c r="G24" s="13" t="s">
        <v>84</v>
      </c>
      <c r="H24" s="14" t="s">
        <v>83</v>
      </c>
      <c r="I24" s="12" t="s">
        <v>90</v>
      </c>
      <c r="J24" s="13" t="s">
        <v>20</v>
      </c>
      <c r="K24" s="13" t="s">
        <v>21</v>
      </c>
      <c r="L24" s="13" t="s">
        <v>53</v>
      </c>
      <c r="M24" s="14" t="s">
        <v>43</v>
      </c>
      <c r="N24" s="118" t="s">
        <v>24</v>
      </c>
      <c r="O24" s="15" t="s">
        <v>25</v>
      </c>
      <c r="P24" s="16" t="s">
        <v>26</v>
      </c>
      <c r="Q24" s="12" t="s">
        <v>27</v>
      </c>
      <c r="R24" s="13" t="s">
        <v>85</v>
      </c>
      <c r="S24" s="116" t="s">
        <v>86</v>
      </c>
      <c r="T24" s="116" t="s">
        <v>28</v>
      </c>
      <c r="U24" s="116" t="s">
        <v>29</v>
      </c>
      <c r="V24" s="119" t="s">
        <v>77</v>
      </c>
    </row>
    <row r="25" spans="2:22" ht="15.75" thickBot="1" x14ac:dyDescent="0.3">
      <c r="B25" s="120" t="s">
        <v>54</v>
      </c>
      <c r="C25" s="121" t="s">
        <v>55</v>
      </c>
      <c r="D25" s="122">
        <v>2485</v>
      </c>
      <c r="E25" s="123">
        <v>44600</v>
      </c>
      <c r="F25" s="124">
        <v>198</v>
      </c>
      <c r="G25" s="125">
        <v>228</v>
      </c>
      <c r="H25" s="126">
        <f>AVERAGE(F25:G25)</f>
        <v>213</v>
      </c>
      <c r="I25" s="127">
        <v>19</v>
      </c>
      <c r="J25" s="128">
        <v>15</v>
      </c>
      <c r="K25" s="129">
        <f>+H25*J25/I25/1000</f>
        <v>0.16815789473684212</v>
      </c>
      <c r="L25" s="129">
        <f>400/8000</f>
        <v>0.05</v>
      </c>
      <c r="M25" s="130">
        <f>+L25+K25</f>
        <v>0.21815789473684211</v>
      </c>
      <c r="N25" s="131">
        <f>+M25*1.15*1.1</f>
        <v>0.27596973684210524</v>
      </c>
      <c r="O25" s="132">
        <f>CEILING(N25,0.001)</f>
        <v>0.27600000000000002</v>
      </c>
      <c r="P25" s="133">
        <f>+K25/N25</f>
        <v>0.60933454755241101</v>
      </c>
      <c r="Q25" s="134">
        <f>+(S25-R25)/R25</f>
        <v>0</v>
      </c>
      <c r="R25" s="135">
        <f>+H25</f>
        <v>213</v>
      </c>
      <c r="S25" s="136">
        <v>213</v>
      </c>
      <c r="T25" s="146">
        <v>0</v>
      </c>
      <c r="U25" s="137">
        <f>+O25*(100-T25)/100</f>
        <v>0.27600000000000002</v>
      </c>
      <c r="V25" s="138">
        <f>++U25+(S25-R25)/R25*100*P25*U25/100</f>
        <v>0.27600000000000002</v>
      </c>
    </row>
    <row r="26" spans="2:22" ht="16.5" customHeight="1" x14ac:dyDescent="0.25"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87"/>
    </row>
    <row r="27" spans="2:22" ht="15.75" thickBot="1" x14ac:dyDescent="0.3"/>
    <row r="28" spans="2:22" ht="19.5" thickBot="1" x14ac:dyDescent="0.35">
      <c r="B28" s="168" t="s">
        <v>56</v>
      </c>
      <c r="C28" s="90"/>
      <c r="D28" s="90"/>
      <c r="F28" s="4" t="s">
        <v>1</v>
      </c>
      <c r="G28" s="5" t="s">
        <v>2</v>
      </c>
      <c r="H28" s="6" t="s">
        <v>3</v>
      </c>
      <c r="I28" s="4" t="s">
        <v>4</v>
      </c>
      <c r="J28" s="5" t="s">
        <v>5</v>
      </c>
      <c r="K28" s="5" t="s">
        <v>6</v>
      </c>
      <c r="L28" s="5" t="s">
        <v>7</v>
      </c>
      <c r="M28" s="5" t="s">
        <v>8</v>
      </c>
      <c r="N28" s="5" t="s">
        <v>9</v>
      </c>
      <c r="O28" s="5" t="s">
        <v>10</v>
      </c>
      <c r="P28" s="6" t="s">
        <v>11</v>
      </c>
      <c r="Q28" s="4" t="s">
        <v>12</v>
      </c>
      <c r="R28" s="5" t="s">
        <v>13</v>
      </c>
      <c r="S28" s="5" t="s">
        <v>14</v>
      </c>
      <c r="T28" s="5" t="s">
        <v>15</v>
      </c>
      <c r="U28" s="5" t="s">
        <v>16</v>
      </c>
      <c r="V28" s="7" t="s">
        <v>17</v>
      </c>
    </row>
    <row r="29" spans="2:22" ht="75.75" thickBot="1" x14ac:dyDescent="0.3">
      <c r="B29" s="4" t="s">
        <v>18</v>
      </c>
      <c r="C29" s="117" t="s">
        <v>19</v>
      </c>
      <c r="D29" s="10" t="s">
        <v>82</v>
      </c>
      <c r="E29" s="91" t="s">
        <v>81</v>
      </c>
      <c r="F29" s="12" t="s">
        <v>80</v>
      </c>
      <c r="G29" s="13" t="s">
        <v>84</v>
      </c>
      <c r="H29" s="14" t="s">
        <v>83</v>
      </c>
      <c r="I29" s="12" t="s">
        <v>90</v>
      </c>
      <c r="J29" s="13" t="s">
        <v>20</v>
      </c>
      <c r="K29" s="13" t="s">
        <v>21</v>
      </c>
      <c r="L29" s="13" t="s">
        <v>22</v>
      </c>
      <c r="M29" s="13" t="s">
        <v>43</v>
      </c>
      <c r="N29" s="15" t="s">
        <v>24</v>
      </c>
      <c r="O29" s="15" t="s">
        <v>25</v>
      </c>
      <c r="P29" s="16" t="s">
        <v>26</v>
      </c>
      <c r="Q29" s="12" t="s">
        <v>27</v>
      </c>
      <c r="R29" s="13" t="s">
        <v>85</v>
      </c>
      <c r="S29" s="116" t="s">
        <v>86</v>
      </c>
      <c r="T29" s="116" t="s">
        <v>28</v>
      </c>
      <c r="U29" s="116" t="s">
        <v>29</v>
      </c>
      <c r="V29" s="119" t="s">
        <v>77</v>
      </c>
    </row>
    <row r="30" spans="2:22" ht="15.75" thickBot="1" x14ac:dyDescent="0.3">
      <c r="B30" s="139" t="s">
        <v>57</v>
      </c>
      <c r="C30" s="140" t="s">
        <v>55</v>
      </c>
      <c r="D30" s="141">
        <v>2485</v>
      </c>
      <c r="E30" s="71">
        <v>44600</v>
      </c>
      <c r="F30" s="124">
        <v>198</v>
      </c>
      <c r="G30" s="125">
        <v>228</v>
      </c>
      <c r="H30" s="126">
        <f>AVERAGE(F30:G30)</f>
        <v>213</v>
      </c>
      <c r="I30" s="142">
        <v>19</v>
      </c>
      <c r="J30" s="143">
        <v>15</v>
      </c>
      <c r="K30" s="129">
        <f>+H30*J30/I30/1000</f>
        <v>0.16815789473684212</v>
      </c>
      <c r="L30" s="125">
        <f>200/1500</f>
        <v>0.13333333333333333</v>
      </c>
      <c r="M30" s="144">
        <f>+L30+K30</f>
        <v>0.30149122807017548</v>
      </c>
      <c r="N30" s="131">
        <f>+M30*1.15*1.1</f>
        <v>0.38138640350877201</v>
      </c>
      <c r="O30" s="145">
        <f>CEILING(N30,0.001)</f>
        <v>0.38200000000000001</v>
      </c>
      <c r="P30" s="133">
        <f>+K30/N30</f>
        <v>0.44091213842387128</v>
      </c>
      <c r="Q30" s="134">
        <f>+(S30-R30)/R30</f>
        <v>0</v>
      </c>
      <c r="R30" s="135">
        <f>+H30</f>
        <v>213</v>
      </c>
      <c r="S30" s="136">
        <v>213</v>
      </c>
      <c r="T30" s="146">
        <v>0</v>
      </c>
      <c r="U30" s="137">
        <f>+O30*(100-T30)/100</f>
        <v>0.38200000000000001</v>
      </c>
      <c r="V30" s="138">
        <f>++U30+(S30-R30)/R30*100*P30*U30/100</f>
        <v>0.38200000000000001</v>
      </c>
    </row>
    <row r="31" spans="2:22" x14ac:dyDescent="0.25"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87"/>
    </row>
    <row r="32" spans="2:22" ht="15" customHeight="1" x14ac:dyDescent="0.25"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87"/>
    </row>
    <row r="33" spans="2:19" hidden="1" x14ac:dyDescent="0.25"/>
    <row r="34" spans="2:19" hidden="1" x14ac:dyDescent="0.25">
      <c r="C34" s="147" t="s">
        <v>58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69" t="s">
        <v>59</v>
      </c>
      <c r="Q34" s="169"/>
      <c r="R34" s="147" t="s">
        <v>60</v>
      </c>
      <c r="S34" s="148"/>
    </row>
    <row r="35" spans="2:19" hidden="1" x14ac:dyDescent="0.25">
      <c r="C35" s="149">
        <v>43311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69"/>
      <c r="Q35" s="169"/>
      <c r="R35" s="150"/>
      <c r="S35" s="2"/>
    </row>
    <row r="36" spans="2:19" hidden="1" x14ac:dyDescent="0.25">
      <c r="C36" s="149">
        <f>+C35+120+3</f>
        <v>43434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69"/>
      <c r="Q36" s="169"/>
      <c r="R36" s="150"/>
      <c r="S36" s="2"/>
    </row>
    <row r="37" spans="2:19" hidden="1" x14ac:dyDescent="0.25">
      <c r="C37" s="149">
        <f>+C36+120</f>
        <v>43554</v>
      </c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73">
        <v>43529</v>
      </c>
      <c r="Q37" s="173"/>
      <c r="R37" s="150" t="s">
        <v>61</v>
      </c>
      <c r="S37" s="2"/>
    </row>
    <row r="38" spans="2:19" hidden="1" x14ac:dyDescent="0.25">
      <c r="C38" s="149">
        <f>+C37+120</f>
        <v>43674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73">
        <v>43648</v>
      </c>
      <c r="Q38" s="173"/>
      <c r="R38" s="150" t="s">
        <v>62</v>
      </c>
      <c r="S38" s="2"/>
    </row>
    <row r="39" spans="2:19" hidden="1" x14ac:dyDescent="0.25">
      <c r="C39" s="149">
        <f>+C38+120</f>
        <v>43794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74">
        <v>43802</v>
      </c>
      <c r="Q39" s="173"/>
      <c r="R39" s="150" t="s">
        <v>63</v>
      </c>
      <c r="S39" s="2"/>
    </row>
    <row r="40" spans="2:19" hidden="1" x14ac:dyDescent="0.25">
      <c r="C40" s="149">
        <f>+C39+120</f>
        <v>43914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73">
        <v>43893</v>
      </c>
      <c r="Q40" s="169"/>
      <c r="R40" s="150" t="s">
        <v>64</v>
      </c>
      <c r="S40" s="2"/>
    </row>
    <row r="41" spans="2:19" hidden="1" x14ac:dyDescent="0.25">
      <c r="C41" s="149">
        <f>+C40+120</f>
        <v>44034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73">
        <v>44019</v>
      </c>
      <c r="Q41" s="169"/>
      <c r="R41" s="150" t="s">
        <v>62</v>
      </c>
      <c r="S41" s="2"/>
    </row>
    <row r="42" spans="2:19" x14ac:dyDescent="0.25"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2"/>
      <c r="Q42" s="148"/>
      <c r="R42" s="2"/>
      <c r="S42" s="2"/>
    </row>
    <row r="43" spans="2:19" ht="15.75" thickBot="1" x14ac:dyDescent="0.3"/>
    <row r="44" spans="2:19" x14ac:dyDescent="0.25">
      <c r="B44" s="175" t="s">
        <v>65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7"/>
    </row>
    <row r="45" spans="2:19" ht="31.5" customHeight="1" thickBot="1" x14ac:dyDescent="0.3">
      <c r="B45" s="153" t="s">
        <v>66</v>
      </c>
      <c r="C45" s="178" t="s">
        <v>67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80"/>
    </row>
    <row r="46" spans="2:19" x14ac:dyDescent="0.25">
      <c r="B46" s="154" t="s">
        <v>68</v>
      </c>
      <c r="C46" s="155" t="s">
        <v>91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7"/>
    </row>
    <row r="47" spans="2:19" ht="18" x14ac:dyDescent="0.35">
      <c r="B47" s="158" t="s">
        <v>3</v>
      </c>
      <c r="C47" s="159" t="s">
        <v>88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1"/>
    </row>
    <row r="48" spans="2:19" x14ac:dyDescent="0.25">
      <c r="B48" s="162" t="s">
        <v>6</v>
      </c>
      <c r="C48" s="181" t="s">
        <v>69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3"/>
    </row>
    <row r="49" spans="2:22" x14ac:dyDescent="0.25">
      <c r="B49" s="162" t="s">
        <v>10</v>
      </c>
      <c r="C49" s="184" t="s">
        <v>70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5"/>
    </row>
    <row r="50" spans="2:22" x14ac:dyDescent="0.25">
      <c r="B50" s="162" t="s">
        <v>11</v>
      </c>
      <c r="C50" s="184" t="s">
        <v>71</v>
      </c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5"/>
    </row>
    <row r="51" spans="2:22" ht="15" customHeight="1" x14ac:dyDescent="0.25">
      <c r="B51" s="163" t="s">
        <v>13</v>
      </c>
      <c r="C51" s="171" t="s">
        <v>87</v>
      </c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2"/>
      <c r="Q51" s="164"/>
      <c r="R51" s="164"/>
      <c r="S51" s="164"/>
      <c r="T51" s="164"/>
      <c r="U51" s="164"/>
      <c r="V51" s="164"/>
    </row>
    <row r="52" spans="2:22" ht="15" customHeight="1" x14ac:dyDescent="0.25">
      <c r="B52" s="163" t="s">
        <v>14</v>
      </c>
      <c r="C52" s="171" t="s">
        <v>89</v>
      </c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2"/>
      <c r="Q52" s="164"/>
      <c r="R52" s="164"/>
      <c r="S52" s="164"/>
      <c r="T52" s="164"/>
      <c r="U52" s="164"/>
      <c r="V52" s="164"/>
    </row>
    <row r="53" spans="2:22" x14ac:dyDescent="0.25">
      <c r="B53" s="162" t="s">
        <v>12</v>
      </c>
      <c r="C53" s="188" t="s">
        <v>72</v>
      </c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9"/>
    </row>
    <row r="54" spans="2:22" x14ac:dyDescent="0.25">
      <c r="B54" s="162" t="s">
        <v>16</v>
      </c>
      <c r="C54" s="184" t="s">
        <v>73</v>
      </c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5"/>
    </row>
    <row r="55" spans="2:22" x14ac:dyDescent="0.25">
      <c r="B55" s="165" t="s">
        <v>15</v>
      </c>
      <c r="C55" s="190" t="s">
        <v>74</v>
      </c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2"/>
    </row>
    <row r="56" spans="2:22" x14ac:dyDescent="0.25">
      <c r="B56" s="165" t="s">
        <v>17</v>
      </c>
      <c r="C56" s="193" t="s">
        <v>78</v>
      </c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4"/>
    </row>
    <row r="57" spans="2:22" x14ac:dyDescent="0.25">
      <c r="B57" s="166"/>
      <c r="C57" s="188" t="s">
        <v>75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9"/>
    </row>
    <row r="58" spans="2:22" ht="15.75" thickBot="1" x14ac:dyDescent="0.3">
      <c r="B58" s="167"/>
      <c r="C58" s="186" t="s">
        <v>79</v>
      </c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7"/>
    </row>
  </sheetData>
  <sheetProtection password="DDF0" sheet="1" objects="1" scenarios="1"/>
  <mergeCells count="25">
    <mergeCell ref="C58:P58"/>
    <mergeCell ref="C52:P52"/>
    <mergeCell ref="C53:P53"/>
    <mergeCell ref="C54:P54"/>
    <mergeCell ref="C55:P55"/>
    <mergeCell ref="C56:P56"/>
    <mergeCell ref="C57:P57"/>
    <mergeCell ref="C51:P51"/>
    <mergeCell ref="P36:Q36"/>
    <mergeCell ref="P37:Q37"/>
    <mergeCell ref="P38:Q38"/>
    <mergeCell ref="P39:Q39"/>
    <mergeCell ref="P40:Q40"/>
    <mergeCell ref="P41:Q41"/>
    <mergeCell ref="B44:P44"/>
    <mergeCell ref="C45:P45"/>
    <mergeCell ref="C48:P48"/>
    <mergeCell ref="C49:P49"/>
    <mergeCell ref="C50:P50"/>
    <mergeCell ref="P35:Q35"/>
    <mergeCell ref="C22:N22"/>
    <mergeCell ref="C26:N26"/>
    <mergeCell ref="C31:N31"/>
    <mergeCell ref="C32:N32"/>
    <mergeCell ref="P34:Q34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ignoredErrors>
    <ignoredError sqref="H15:H20 H25 H30 H6: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REVISIONE 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Amoruso Emanuele</dc:creator>
  <cp:lastModifiedBy>Amoruso Emanuele</cp:lastModifiedBy>
  <dcterms:created xsi:type="dcterms:W3CDTF">2022-02-28T13:42:18Z</dcterms:created>
  <dcterms:modified xsi:type="dcterms:W3CDTF">2022-03-03T11:11:40Z</dcterms:modified>
</cp:coreProperties>
</file>